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21260" yWindow="40" windowWidth="23620" windowHeight="26780" tabRatio="500"/>
  </bookViews>
  <sheets>
    <sheet name="Sheet1" sheetId="1" r:id="rId1"/>
  </sheets>
  <definedNames>
    <definedName name="AcresTreated">Sheet1!$B$33</definedName>
    <definedName name="ActivityCostSavings">Sheet1!$B$18</definedName>
    <definedName name="BMICostSavings">Sheet1!$B$24</definedName>
    <definedName name="BMIParticipants">Sheet1!$B$23</definedName>
    <definedName name="BMIPost">Sheet1!$B$22</definedName>
    <definedName name="BMIPre">Sheet1!$B$21</definedName>
    <definedName name="Cistern">Sheet1!$B$67</definedName>
    <definedName name="ConsumedPost">Sheet1!$B$11</definedName>
    <definedName name="ConsumedPre">Sheet1!$B$10</definedName>
    <definedName name="DropoutCostSavings">Sheet1!$B$7</definedName>
    <definedName name="Dropouts">Sheet1!$B$4</definedName>
    <definedName name="GallonsCaptured">Sheet1!$B$60</definedName>
    <definedName name="GallonsCistern">Sheet1!$B$68</definedName>
    <definedName name="HoursEarned">Sheet1!$B$27</definedName>
    <definedName name="HoursNeeded">Sheet1!$B$28</definedName>
    <definedName name="ImperviousSqFt">Sheet1!$B$50</definedName>
    <definedName name="InactivePost">Sheet1!$B$17</definedName>
    <definedName name="InactivePre">Sheet1!$B$16</definedName>
    <definedName name="MedicalCostSavings">Sheet1!$B$13</definedName>
    <definedName name="Members">Sheet1!$B$5</definedName>
    <definedName name="Participants">Sheet1!$B$12</definedName>
    <definedName name="PercentDrop">Sheet1!$B$6</definedName>
    <definedName name="PoundNRainBarrel">Sheet1!$B$61</definedName>
    <definedName name="PoundsNCistern">Sheet1!$B$69</definedName>
    <definedName name="PoundsNRemoved">Sheet1!$B$51</definedName>
    <definedName name="PoundsNRemovedRainGarden">Sheet1!$B$51</definedName>
    <definedName name="PoundsPRemovedRainGarden">Sheet1!$B$53</definedName>
    <definedName name="RainBarrel">Sheet1!$B$58</definedName>
    <definedName name="RainBarrelSize">Sheet1!$B$59</definedName>
    <definedName name="RainCaptured">Sheet1!$B$55</definedName>
    <definedName name="RainGardens">Sheet1!$B$50</definedName>
    <definedName name="RecertWages">Sheet1!$B$29</definedName>
    <definedName name="SavingsPotable">Sheet1!$B$62</definedName>
    <definedName name="SwaleAcres">Sheet1!$B$45</definedName>
    <definedName name="Swales">Sheet1!$B$44</definedName>
    <definedName name="TotalValueCistern">Sheet1!$B$72</definedName>
    <definedName name="ValueN">Sheet1!$B$34</definedName>
    <definedName name="ValueNCistern">Sheet1!$B$71</definedName>
    <definedName name="ValueNRainBarrel">Sheet1!$B$63</definedName>
    <definedName name="ValueNRemovedRainGarden">Sheet1!$B$52</definedName>
    <definedName name="ValueNSwale">Sheet1!$B$46</definedName>
    <definedName name="ValueNWetlands">Sheet1!$B$34</definedName>
    <definedName name="ValueNWetPond">Sheet1!$B$40</definedName>
    <definedName name="ValueP">Sheet1!$B$35</definedName>
    <definedName name="ValuePRemovedRainGarden">Sheet1!$B$54</definedName>
    <definedName name="ValuePSwale">Sheet1!$B$47</definedName>
    <definedName name="ValuePWetlands">Sheet1!$B$35</definedName>
    <definedName name="ValuePWetPond">Sheet1!$B$41</definedName>
    <definedName name="ValueRainBarrel">Sheet1!$B$64</definedName>
    <definedName name="WaterSavingsCistern">Sheet1!$B$70</definedName>
    <definedName name="Wetlands">Sheet1!$B$32</definedName>
    <definedName name="WetPond">Sheet1!$B$38</definedName>
    <definedName name="WetpondAcres">Sheet1!$B$39</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29" i="1" l="1"/>
  <c r="B69" i="1"/>
  <c r="B60" i="1"/>
  <c r="B61" i="1"/>
  <c r="B55" i="1"/>
  <c r="B53" i="1"/>
  <c r="B54" i="1"/>
  <c r="B51" i="1"/>
  <c r="B52" i="1"/>
  <c r="B70" i="1"/>
  <c r="B71" i="1"/>
  <c r="B72" i="1"/>
  <c r="B62" i="1"/>
  <c r="B63" i="1"/>
  <c r="B64" i="1"/>
  <c r="B47" i="1"/>
  <c r="B46" i="1"/>
  <c r="B41" i="1"/>
  <c r="B40" i="1"/>
  <c r="B24" i="1"/>
  <c r="B34" i="1"/>
  <c r="B35" i="1"/>
  <c r="B13" i="1"/>
  <c r="B18" i="1"/>
  <c r="B7" i="1"/>
  <c r="B6" i="1"/>
</calcChain>
</file>

<file path=xl/sharedStrings.xml><?xml version="1.0" encoding="utf-8"?>
<sst xmlns="http://schemas.openxmlformats.org/spreadsheetml/2006/main" count="83" uniqueCount="61">
  <si>
    <t>Number of high school age youth (students) participating as members in 4-H clubs who have dropped out of high school.</t>
  </si>
  <si>
    <t>Number of high school age youth (students) participating as members of 4-H clubs</t>
  </si>
  <si>
    <t>% of 4-H high school youth (students) who have dropped out of high school ($y[0] / $y[1]) * 100</t>
  </si>
  <si>
    <t>Real cost savings of preventing dropouts in $ ($y[1] * 178.48) - ($y[0] * 4437.00)</t>
  </si>
  <si>
    <t>Average number of cups of fruit and vegetables consumed (pre-test). Note: this is average of the entire group participating in the program.</t>
  </si>
  <si>
    <t>Average number of cups of fruit and vegetables consumed (post-test).</t>
  </si>
  <si>
    <t>Total number of participants in program.</t>
  </si>
  <si>
    <t>Low Fruit/Vegetable Intake Medical Cost Savings in $ (($y[1]-$y[0])/(5-$y[0])) * $y[2] * 578.00</t>
  </si>
  <si>
    <t>Low fruit / vegetable intake medical cost savings</t>
  </si>
  <si>
    <t>Physical inactivity medical care and lost productivity cost savings</t>
  </si>
  <si>
    <t>Number of participants who were physically inactive at the start of the program (pre-test). Physical inactivity is defined here as less than 30 minutes of moderate activity on most days of the week.</t>
  </si>
  <si>
    <t>Number of participants who were physically inactive at the end of the program (post-test). Physical inactivity is defined here as less than 30 minutes of moderate activity on most days of the week.</t>
  </si>
  <si>
    <t>Physical Inactivity Medical Care and Lost Productivity Cost Savings in $ ($y[0]-$y[1]) * 2549.00</t>
  </si>
  <si>
    <t>Excess weight medical care and lost productivity cost savings</t>
  </si>
  <si>
    <t>Average BMI of group (pre-test).</t>
  </si>
  <si>
    <t>Average BMI of group (post-test).</t>
  </si>
  <si>
    <t>Excess Weight Medical Care and Lost Productivity Cost Savings in $ (($y[0]-$y[1])/($y[0]-25)) * $y[2] * 3103.00</t>
  </si>
  <si>
    <t>Wages preserved through commercial pesticide applicator recertification classes</t>
  </si>
  <si>
    <t>Total number of recertification credit hours earned</t>
  </si>
  <si>
    <t>Average number of credit hours needed for recertfication</t>
  </si>
  <si>
    <t>Wages preserved through commercial pesticide applicator recertification classes in $ ($y[0] / $y[1]) * 31080</t>
  </si>
  <si>
    <t>y[0]</t>
  </si>
  <si>
    <t>y[1]</t>
  </si>
  <si>
    <t>y[2]</t>
  </si>
  <si>
    <t>Stormwater wetland</t>
  </si>
  <si>
    <t>Number of wetlands</t>
  </si>
  <si>
    <t>Average acres of imprevious surface treated</t>
  </si>
  <si>
    <t>Value of N removed 20.59*30*$y[0]*$y[1]*20*0.4</t>
  </si>
  <si>
    <t>Value of P removed 142.02*30*0.4*2*$y[0]*$y[1]</t>
  </si>
  <si>
    <t>Wet Pond</t>
  </si>
  <si>
    <t>Number of wet ponds</t>
  </si>
  <si>
    <t>Value of P removed 142.02*30*$y[0]*$y[1]*2*0.4</t>
  </si>
  <si>
    <t>Value of N removed 20.59*30*$y[0]*$y[1]*0.25*20</t>
  </si>
  <si>
    <t>Swale</t>
  </si>
  <si>
    <t>Number of swales</t>
  </si>
  <si>
    <t>Value of N removed 20.59*30*$y[0]*$y[1]*20*.2</t>
  </si>
  <si>
    <t>Value of P removed 142.02*30*2*$y[0]*$y[1]*0.2</t>
  </si>
  <si>
    <t>Rain Gardens</t>
  </si>
  <si>
    <t>Number of Impervious Square Feet Treated</t>
  </si>
  <si>
    <t>Total Pounds of Nitrogen Removed (35% removal at 20 lbs N/ac/yr over 30 yr) $y[0]/43560*20*30*0.35</t>
  </si>
  <si>
    <t>Total Value of Nitrogen Removed ($20.59/lb of N from average EEP offset payment Apr 2011) ($y[0]/43560*20*30*0.35)*20.59</t>
  </si>
  <si>
    <t>Total Pounds of Phosphorus Removed (45% removal at 2 lbs P/ac/yr over 30 yr) $y[0]/43560*2*30*0.45</t>
  </si>
  <si>
    <t>Total Value of Phosphorus Removed ($142.02/lb of P from average EEP offset payment Apr 2011) ($y[0]/43560*2*30*0.45)*142.02</t>
  </si>
  <si>
    <t>Annual Gallons of Water Captured (average 42" annual precipitation * 0.62 Gallons rainwater per sq ft) $y[0]*0.62*42</t>
  </si>
  <si>
    <t>Number of Rain Barrels Installed</t>
  </si>
  <si>
    <t>Annual Gallons of Water Captured (25% of barrel used per week * 52 weeks) $y[0]*$y[1]*0.25*52</t>
  </si>
  <si>
    <t>Total Pounds of Nitrogen Removed from Stormwater Runoff for 30 years (Annual gal/ 8.35lbs * 3.78L * 2mg/1000L * 2.2lbs of N * 30 yr life) $y[0]*$y[1]*0.25*52/8.35*3.78*2/1000*2.2*30</t>
  </si>
  <si>
    <t>Savings in Potable Water Use (Annual gal * $0.004/gal cost of water * 30 yr life) http://www.efc.unc.edu/projects/NCWaterRates.htm p8 $y[0]*$y[1]*0.25*52*0.004*30</t>
  </si>
  <si>
    <t>Value of Nitrogen Removed (Total lbs of N removed * $20.59/lb of N from average EEP offset payment Apr 2011) $y[0]*$y[1]*0.25*52/8.35*3.78*2/1000*2.2*30*20.59</t>
  </si>
  <si>
    <t>Total Value of Rain Barrels (savings in potable water use + value of N removed) $y[0]*$y[1]*0.25*52*0.004*30 + $y[0]*$y[1]*0.25*52/8.35*3.78*2/1000*2.2*30*20.59</t>
  </si>
  <si>
    <t>Rain Barrels</t>
  </si>
  <si>
    <t>Cisterns</t>
  </si>
  <si>
    <t>Total Size of all Cisterns Installed in gallons</t>
  </si>
  <si>
    <t>Annual Gallons of Water Captured (25% of barrel used per week * 52 weeks) $y[0]*0.25*52</t>
  </si>
  <si>
    <t>Total Pounds of Nitrogen Removed from Stormwater Runoff for 30 years (Annual gal/ 8.35lbs * 3.78L * 2mg/1000L * 2.2lbs of N * 30 yr life) $y[0]*0.25*52/8.35*3.78*2/1000*2.2*30</t>
  </si>
  <si>
    <t>Savings in Potable Water Use (Annual gal * $0.004/gal cost of water * 30 yr life) http://www.efc.unc.edu/projects/NCWaterRates.htm p8 $y[0]*0.25*52*0.004*30</t>
  </si>
  <si>
    <t>Value of Nitrogen Removed (Total lbs of N removed * $20.59/lb of N from average EEP offset payment Apr 2011) $y[0]*0.25*52/8.35*3.78*2/1000*2.2*30*20.59</t>
  </si>
  <si>
    <t>Total Value of Cisterns (savings in potable water use + value of N removed) $y[0]*0.25*52*0.004*30+$y[0]*0.25*52/8.35*3.78*2/1000*2.2*30*20.59</t>
  </si>
  <si>
    <t>Percentage of 4-H high school students who have dropped out of high school and Real coost savings of preventing dropouts</t>
  </si>
  <si>
    <t xml:space="preserve">The Calculators component of ERS was removed for the 2016 Reporting Year. This spreadsheet captures the formulas as they existed at the end of 2015. Enter your values in the highlighted areas. </t>
  </si>
  <si>
    <t>Average Size of Rain Barrel is 55 gal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</si>
</sst>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8" x14ac:knownFonts="1">
    <font>
      <sz val="12"/>
      <color theme="1"/>
      <name val="Calibri"/>
      <family val="2"/>
      <scheme val="minor"/>
    </font>
    <font>
      <sz val="12"/>
      <color rgb="FF000000"/>
      <name val="Verdana"/>
    </font>
    <font>
      <sz val="12"/>
      <name val="Verdana"/>
    </font>
    <font>
      <sz val="12"/>
      <color theme="1"/>
      <name val="Verdana"/>
    </font>
    <font>
      <b/>
      <sz val="12"/>
      <name val="Verdana"/>
    </font>
    <font>
      <u/>
      <sz val="12"/>
      <color theme="10"/>
      <name val="Calibri"/>
      <family val="2"/>
      <scheme val="minor"/>
    </font>
    <font>
      <u/>
      <sz val="12"/>
      <color theme="11"/>
      <name val="Calibri"/>
      <family val="2"/>
      <scheme val="minor"/>
    </font>
    <font>
      <sz val="1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6">
    <xf numFmtId="0" fontId="0" fillId="0" borderId="0" xfId="0"/>
    <xf numFmtId="0" fontId="3" fillId="0" borderId="0" xfId="0" applyFont="1"/>
    <xf numFmtId="164" fontId="3" fillId="0" borderId="0" xfId="0" applyNumberFormat="1" applyFont="1"/>
    <xf numFmtId="0" fontId="4" fillId="0" borderId="0" xfId="0" applyFont="1"/>
    <xf numFmtId="0" fontId="1" fillId="0" borderId="0" xfId="0" applyFont="1" applyAlignment="1">
      <alignment wrapText="1"/>
    </xf>
    <xf numFmtId="0" fontId="0" fillId="0" borderId="0" xfId="0" applyAlignment="1">
      <alignment wrapText="1"/>
    </xf>
    <xf numFmtId="0" fontId="2" fillId="0" borderId="4" xfId="0" applyFont="1" applyBorder="1" applyAlignment="1">
      <alignment wrapText="1"/>
    </xf>
    <xf numFmtId="10" fontId="3" fillId="0" borderId="3" xfId="0" applyNumberFormat="1" applyFont="1" applyBorder="1"/>
    <xf numFmtId="164" fontId="3" fillId="0" borderId="5" xfId="0" applyNumberFormat="1" applyFont="1" applyBorder="1"/>
    <xf numFmtId="0" fontId="2" fillId="0" borderId="6"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164" fontId="3" fillId="0" borderId="3" xfId="0" applyNumberFormat="1" applyFont="1" applyBorder="1"/>
    <xf numFmtId="0" fontId="1" fillId="0" borderId="3" xfId="0" applyFont="1" applyBorder="1"/>
    <xf numFmtId="164" fontId="1" fillId="0" borderId="3" xfId="0" applyNumberFormat="1" applyFont="1" applyBorder="1"/>
    <xf numFmtId="164" fontId="1" fillId="0" borderId="5" xfId="0" applyNumberFormat="1" applyFont="1" applyBorder="1"/>
    <xf numFmtId="0" fontId="3" fillId="2" borderId="7" xfId="0" applyFont="1" applyFill="1" applyBorder="1" applyProtection="1">
      <protection locked="0"/>
    </xf>
    <xf numFmtId="2" fontId="1" fillId="0" borderId="3" xfId="0" applyNumberFormat="1" applyFont="1" applyBorder="1"/>
    <xf numFmtId="2" fontId="3" fillId="4" borderId="7" xfId="0" applyNumberFormat="1" applyFont="1" applyFill="1" applyBorder="1" applyProtection="1"/>
    <xf numFmtId="2" fontId="3" fillId="2" borderId="7" xfId="0" applyNumberFormat="1" applyFont="1" applyFill="1" applyBorder="1" applyProtection="1">
      <protection locked="0"/>
    </xf>
    <xf numFmtId="1" fontId="3" fillId="2" borderId="7" xfId="0" applyNumberFormat="1" applyFont="1" applyFill="1" applyBorder="1" applyProtection="1">
      <protection locked="0"/>
    </xf>
    <xf numFmtId="165" fontId="3" fillId="0" borderId="3" xfId="0" applyNumberFormat="1" applyFont="1" applyBorder="1"/>
    <xf numFmtId="0" fontId="4"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4" fillId="3" borderId="1" xfId="0" applyFont="1" applyFill="1" applyBorder="1" applyAlignment="1">
      <alignment horizontal="center" vertical="center"/>
    </xf>
    <xf numFmtId="0" fontId="7" fillId="3" borderId="2" xfId="0" applyFont="1" applyFill="1" applyBorder="1" applyAlignment="1">
      <alignment horizontal="center" vertical="center"/>
    </xf>
  </cellXfs>
  <cellStyles count="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abSelected="1" topLeftCell="B1" workbookViewId="0">
      <selection activeCell="B4" sqref="B4"/>
    </sheetView>
  </sheetViews>
  <sheetFormatPr baseColWidth="10" defaultRowHeight="15" x14ac:dyDescent="0"/>
  <cols>
    <col min="1" max="1" width="4.83203125" hidden="1" customWidth="1"/>
    <col min="2" max="2" width="33.5" customWidth="1"/>
    <col min="3" max="5" width="112.5" customWidth="1"/>
  </cols>
  <sheetData>
    <row r="1" spans="1:3" ht="66" customHeight="1">
      <c r="B1" s="22" t="s">
        <v>59</v>
      </c>
      <c r="C1" s="23"/>
    </row>
    <row r="3" spans="1:3" ht="32" customHeight="1">
      <c r="B3" s="24" t="s">
        <v>58</v>
      </c>
      <c r="C3" s="25"/>
    </row>
    <row r="4" spans="1:3" ht="32" customHeight="1">
      <c r="A4" s="1" t="s">
        <v>21</v>
      </c>
      <c r="B4" s="20"/>
      <c r="C4" s="6" t="s">
        <v>0</v>
      </c>
    </row>
    <row r="5" spans="1:3" ht="32" customHeight="1">
      <c r="A5" s="1" t="s">
        <v>22</v>
      </c>
      <c r="B5" s="20"/>
      <c r="C5" s="6" t="s">
        <v>1</v>
      </c>
    </row>
    <row r="6" spans="1:3" ht="32" customHeight="1">
      <c r="A6" s="1"/>
      <c r="B6" s="7" t="e">
        <f>(Dropouts/Members)</f>
        <v>#DIV/0!</v>
      </c>
      <c r="C6" s="6" t="s">
        <v>2</v>
      </c>
    </row>
    <row r="7" spans="1:3" ht="32" customHeight="1">
      <c r="A7" s="1"/>
      <c r="B7" s="8">
        <f>(Members*178.48)-Dropouts*4437</f>
        <v>0</v>
      </c>
      <c r="C7" s="9" t="s">
        <v>3</v>
      </c>
    </row>
    <row r="8" spans="1:3" ht="32" customHeight="1">
      <c r="C8" s="5"/>
    </row>
    <row r="9" spans="1:3" ht="32" customHeight="1">
      <c r="A9" s="3"/>
      <c r="B9" s="24" t="s">
        <v>8</v>
      </c>
      <c r="C9" s="25"/>
    </row>
    <row r="10" spans="1:3" ht="32" customHeight="1">
      <c r="A10" s="1" t="s">
        <v>21</v>
      </c>
      <c r="B10" s="19"/>
      <c r="C10" s="6" t="s">
        <v>4</v>
      </c>
    </row>
    <row r="11" spans="1:3" ht="32" customHeight="1">
      <c r="A11" s="1" t="s">
        <v>22</v>
      </c>
      <c r="B11" s="19"/>
      <c r="C11" s="6" t="s">
        <v>5</v>
      </c>
    </row>
    <row r="12" spans="1:3" ht="32" customHeight="1">
      <c r="A12" s="1" t="s">
        <v>23</v>
      </c>
      <c r="B12" s="16"/>
      <c r="C12" s="6" t="s">
        <v>6</v>
      </c>
    </row>
    <row r="13" spans="1:3" ht="32" customHeight="1">
      <c r="A13" s="1"/>
      <c r="B13" s="8">
        <f>((ConsumedPost-ConsumedPre)/(5-ConsumedPre))*Participants*578</f>
        <v>0</v>
      </c>
      <c r="C13" s="9" t="s">
        <v>7</v>
      </c>
    </row>
    <row r="14" spans="1:3" ht="32" customHeight="1">
      <c r="C14" s="5"/>
    </row>
    <row r="15" spans="1:3" ht="32" customHeight="1">
      <c r="A15" s="3"/>
      <c r="B15" s="24" t="s">
        <v>9</v>
      </c>
      <c r="C15" s="25"/>
    </row>
    <row r="16" spans="1:3" ht="32" customHeight="1">
      <c r="A16" s="1" t="s">
        <v>21</v>
      </c>
      <c r="B16" s="16"/>
      <c r="C16" s="10" t="s">
        <v>10</v>
      </c>
    </row>
    <row r="17" spans="1:3" ht="32" customHeight="1">
      <c r="A17" s="1" t="s">
        <v>22</v>
      </c>
      <c r="B17" s="16"/>
      <c r="C17" s="10" t="s">
        <v>11</v>
      </c>
    </row>
    <row r="18" spans="1:3" ht="32" customHeight="1">
      <c r="A18" s="1"/>
      <c r="B18" s="8">
        <f>(InactivePre-InactivePost)*2549</f>
        <v>0</v>
      </c>
      <c r="C18" s="11" t="s">
        <v>12</v>
      </c>
    </row>
    <row r="19" spans="1:3" ht="32" customHeight="1">
      <c r="A19" s="1"/>
      <c r="B19" s="2"/>
      <c r="C19" s="4"/>
    </row>
    <row r="20" spans="1:3" ht="32" customHeight="1">
      <c r="B20" s="24" t="s">
        <v>13</v>
      </c>
      <c r="C20" s="25"/>
    </row>
    <row r="21" spans="1:3" ht="32" customHeight="1">
      <c r="A21" s="1" t="s">
        <v>21</v>
      </c>
      <c r="B21" s="16"/>
      <c r="C21" s="6" t="s">
        <v>14</v>
      </c>
    </row>
    <row r="22" spans="1:3" ht="32" customHeight="1">
      <c r="A22" s="1" t="s">
        <v>22</v>
      </c>
      <c r="B22" s="16"/>
      <c r="C22" s="10" t="s">
        <v>15</v>
      </c>
    </row>
    <row r="23" spans="1:3" ht="32" customHeight="1">
      <c r="A23" s="1" t="s">
        <v>23</v>
      </c>
      <c r="B23" s="16"/>
      <c r="C23" s="10" t="s">
        <v>6</v>
      </c>
    </row>
    <row r="24" spans="1:3" ht="32" customHeight="1">
      <c r="A24" s="1"/>
      <c r="B24" s="8">
        <f>((BMIPre-BMIPost)/(BMIPre-25))*BMIParticipants*3103</f>
        <v>0</v>
      </c>
      <c r="C24" s="11" t="s">
        <v>16</v>
      </c>
    </row>
    <row r="25" spans="1:3" ht="32" customHeight="1">
      <c r="A25" s="1"/>
      <c r="B25" s="2"/>
      <c r="C25" s="4"/>
    </row>
    <row r="26" spans="1:3" ht="32" customHeight="1">
      <c r="B26" s="24" t="s">
        <v>17</v>
      </c>
      <c r="C26" s="25"/>
    </row>
    <row r="27" spans="1:3" ht="32" customHeight="1">
      <c r="A27" s="1" t="s">
        <v>21</v>
      </c>
      <c r="B27" s="16"/>
      <c r="C27" s="10" t="s">
        <v>18</v>
      </c>
    </row>
    <row r="28" spans="1:3" ht="32" customHeight="1">
      <c r="A28" s="1" t="s">
        <v>22</v>
      </c>
      <c r="B28" s="19"/>
      <c r="C28" s="10" t="s">
        <v>19</v>
      </c>
    </row>
    <row r="29" spans="1:3" ht="32" customHeight="1">
      <c r="A29" s="1"/>
      <c r="B29" s="8" t="e">
        <f>HoursEarned/HoursNeeded*31080</f>
        <v>#DIV/0!</v>
      </c>
      <c r="C29" s="11" t="s">
        <v>20</v>
      </c>
    </row>
    <row r="30" spans="1:3" ht="32" customHeight="1">
      <c r="C30" s="5"/>
    </row>
    <row r="31" spans="1:3" ht="32" customHeight="1">
      <c r="B31" s="24" t="s">
        <v>24</v>
      </c>
      <c r="C31" s="25"/>
    </row>
    <row r="32" spans="1:3" ht="32" customHeight="1">
      <c r="A32" s="1" t="s">
        <v>21</v>
      </c>
      <c r="B32" s="16"/>
      <c r="C32" s="10" t="s">
        <v>25</v>
      </c>
    </row>
    <row r="33" spans="1:3" ht="32" customHeight="1">
      <c r="A33" s="1" t="s">
        <v>22</v>
      </c>
      <c r="B33" s="16"/>
      <c r="C33" s="10" t="s">
        <v>26</v>
      </c>
    </row>
    <row r="34" spans="1:3" ht="32" customHeight="1">
      <c r="A34" s="1"/>
      <c r="B34" s="12">
        <f>20.59*30*Wetlands*AcresTreated*20*0.4</f>
        <v>0</v>
      </c>
      <c r="C34" s="10" t="s">
        <v>27</v>
      </c>
    </row>
    <row r="35" spans="1:3" ht="32" customHeight="1">
      <c r="B35" s="8">
        <f>142.02*30*0.4*2*Wetlands*AcresTreated</f>
        <v>0</v>
      </c>
      <c r="C35" s="11" t="s">
        <v>28</v>
      </c>
    </row>
    <row r="36" spans="1:3" ht="32" customHeight="1">
      <c r="C36" s="5"/>
    </row>
    <row r="37" spans="1:3" ht="32" customHeight="1">
      <c r="B37" s="24" t="s">
        <v>29</v>
      </c>
      <c r="C37" s="25"/>
    </row>
    <row r="38" spans="1:3" ht="32" customHeight="1">
      <c r="A38" s="1" t="s">
        <v>21</v>
      </c>
      <c r="B38" s="16"/>
      <c r="C38" s="10" t="s">
        <v>30</v>
      </c>
    </row>
    <row r="39" spans="1:3" ht="32" customHeight="1">
      <c r="A39" s="1" t="s">
        <v>22</v>
      </c>
      <c r="B39" s="16"/>
      <c r="C39" s="10" t="s">
        <v>26</v>
      </c>
    </row>
    <row r="40" spans="1:3" ht="32" customHeight="1">
      <c r="A40" s="1"/>
      <c r="B40" s="12">
        <f>20.59*30*WetPond*WetpondAcres*0.25*20</f>
        <v>0</v>
      </c>
      <c r="C40" s="10" t="s">
        <v>32</v>
      </c>
    </row>
    <row r="41" spans="1:3" ht="32" customHeight="1">
      <c r="B41" s="8">
        <f>142.02*30*WetPond*WetpondAcres*2*0.4</f>
        <v>0</v>
      </c>
      <c r="C41" s="11" t="s">
        <v>31</v>
      </c>
    </row>
    <row r="42" spans="1:3" ht="32" customHeight="1">
      <c r="C42" s="5"/>
    </row>
    <row r="43" spans="1:3" ht="32" customHeight="1">
      <c r="B43" s="24" t="s">
        <v>33</v>
      </c>
      <c r="C43" s="25"/>
    </row>
    <row r="44" spans="1:3" ht="32" customHeight="1">
      <c r="A44" s="1" t="s">
        <v>21</v>
      </c>
      <c r="B44" s="16"/>
      <c r="C44" s="10" t="s">
        <v>34</v>
      </c>
    </row>
    <row r="45" spans="1:3" ht="32" customHeight="1">
      <c r="A45" s="1" t="s">
        <v>22</v>
      </c>
      <c r="B45" s="16"/>
      <c r="C45" s="10" t="s">
        <v>26</v>
      </c>
    </row>
    <row r="46" spans="1:3" ht="32" customHeight="1">
      <c r="A46" s="1"/>
      <c r="B46" s="12">
        <f>20.59*30*Swales*SwaleAcres*20*0.2</f>
        <v>0</v>
      </c>
      <c r="C46" s="10" t="s">
        <v>35</v>
      </c>
    </row>
    <row r="47" spans="1:3" ht="32" customHeight="1">
      <c r="B47" s="8">
        <f>142.02*30*2*Swales*SwaleAcres*0.2</f>
        <v>0</v>
      </c>
      <c r="C47" s="11" t="s">
        <v>36</v>
      </c>
    </row>
    <row r="48" spans="1:3" ht="32" customHeight="1">
      <c r="C48" s="5"/>
    </row>
    <row r="49" spans="1:3" ht="32" customHeight="1">
      <c r="B49" s="24" t="s">
        <v>37</v>
      </c>
      <c r="C49" s="25"/>
    </row>
    <row r="50" spans="1:3" ht="32" customHeight="1">
      <c r="A50" s="1" t="s">
        <v>21</v>
      </c>
      <c r="B50" s="16"/>
      <c r="C50" s="10" t="s">
        <v>38</v>
      </c>
    </row>
    <row r="51" spans="1:3" ht="32" customHeight="1">
      <c r="A51" s="1"/>
      <c r="B51" s="18">
        <f>ImperviousSqFt/43560*20*30*0.35</f>
        <v>0</v>
      </c>
      <c r="C51" s="10" t="s">
        <v>39</v>
      </c>
    </row>
    <row r="52" spans="1:3" ht="32" customHeight="1">
      <c r="A52" s="1"/>
      <c r="B52" s="21">
        <f>PoundsNRemoved*20.59</f>
        <v>0</v>
      </c>
      <c r="C52" s="10" t="s">
        <v>40</v>
      </c>
    </row>
    <row r="53" spans="1:3" ht="32" customHeight="1">
      <c r="B53" s="17">
        <f>ImperviousSqFt/43560*2*30*0.45</f>
        <v>0</v>
      </c>
      <c r="C53" s="10" t="s">
        <v>41</v>
      </c>
    </row>
    <row r="54" spans="1:3" ht="32" customHeight="1">
      <c r="B54" s="21">
        <f>PoundsPRemovedRainGarden*142.02</f>
        <v>0</v>
      </c>
      <c r="C54" s="10" t="s">
        <v>42</v>
      </c>
    </row>
    <row r="55" spans="1:3" ht="32" customHeight="1">
      <c r="B55" s="21">
        <f>ImperviousSqFt*0.62*42</f>
        <v>0</v>
      </c>
      <c r="C55" s="11" t="s">
        <v>43</v>
      </c>
    </row>
    <row r="56" spans="1:3" ht="32" customHeight="1">
      <c r="C56" s="5"/>
    </row>
    <row r="57" spans="1:3" ht="32" customHeight="1">
      <c r="B57" s="24" t="s">
        <v>50</v>
      </c>
      <c r="C57" s="25"/>
    </row>
    <row r="58" spans="1:3" ht="32" customHeight="1">
      <c r="A58" s="1" t="s">
        <v>21</v>
      </c>
      <c r="B58" s="16"/>
      <c r="C58" s="10" t="s">
        <v>44</v>
      </c>
    </row>
    <row r="59" spans="1:3" ht="32" customHeight="1">
      <c r="A59" s="1" t="s">
        <v>22</v>
      </c>
      <c r="B59" s="16"/>
      <c r="C59" s="10" t="s">
        <v>60</v>
      </c>
    </row>
    <row r="60" spans="1:3" ht="32" customHeight="1">
      <c r="B60" s="13">
        <f>RainBarrel*RainBarrelSize*0.25*52</f>
        <v>0</v>
      </c>
      <c r="C60" s="10" t="s">
        <v>45</v>
      </c>
    </row>
    <row r="61" spans="1:3" ht="32" customHeight="1">
      <c r="B61" s="17">
        <f>GallonsCaptured/8.35*3.78*2/1000*2.2*30</f>
        <v>0</v>
      </c>
      <c r="C61" s="10" t="s">
        <v>46</v>
      </c>
    </row>
    <row r="62" spans="1:3" ht="32" customHeight="1">
      <c r="B62" s="14">
        <f>GallonsCaptured*0.004*30</f>
        <v>0</v>
      </c>
      <c r="C62" s="10" t="s">
        <v>47</v>
      </c>
    </row>
    <row r="63" spans="1:3" ht="32" customHeight="1">
      <c r="B63" s="14">
        <f>GallonsCaptured/8.35*3.78*2/1000*2.2*30*20.59</f>
        <v>0</v>
      </c>
      <c r="C63" s="10" t="s">
        <v>48</v>
      </c>
    </row>
    <row r="64" spans="1:3" ht="32" customHeight="1">
      <c r="B64" s="15">
        <f>SavingsPotable+ValueNRainBarrel</f>
        <v>0</v>
      </c>
      <c r="C64" s="11" t="s">
        <v>49</v>
      </c>
    </row>
    <row r="65" spans="1:3" ht="32" customHeight="1">
      <c r="C65" s="5"/>
    </row>
    <row r="66" spans="1:3" ht="32" customHeight="1">
      <c r="B66" s="24" t="s">
        <v>51</v>
      </c>
      <c r="C66" s="25"/>
    </row>
    <row r="67" spans="1:3" ht="32" customHeight="1">
      <c r="A67" s="1" t="s">
        <v>21</v>
      </c>
      <c r="B67" s="16"/>
      <c r="C67" s="10" t="s">
        <v>52</v>
      </c>
    </row>
    <row r="68" spans="1:3" ht="32" customHeight="1">
      <c r="B68" s="16"/>
      <c r="C68" s="10" t="s">
        <v>53</v>
      </c>
    </row>
    <row r="69" spans="1:3" ht="32" customHeight="1">
      <c r="B69" s="18">
        <f>GallonsCistern/8.35*3.78*2/1000*2.2*30</f>
        <v>0</v>
      </c>
      <c r="C69" s="10" t="s">
        <v>54</v>
      </c>
    </row>
    <row r="70" spans="1:3" ht="32" customHeight="1">
      <c r="B70" s="14">
        <f>GallonsCistern*0.004*30</f>
        <v>0</v>
      </c>
      <c r="C70" s="10" t="s">
        <v>55</v>
      </c>
    </row>
    <row r="71" spans="1:3" ht="32" customHeight="1">
      <c r="B71" s="14">
        <f>PoundsNCistern*20.59</f>
        <v>0</v>
      </c>
      <c r="C71" s="10" t="s">
        <v>56</v>
      </c>
    </row>
    <row r="72" spans="1:3" ht="32" customHeight="1">
      <c r="B72" s="15">
        <f>WaterSavingsCistern+ValueNCistern</f>
        <v>0</v>
      </c>
      <c r="C72" s="11" t="s">
        <v>57</v>
      </c>
    </row>
  </sheetData>
  <sheetProtection sheet="1" objects="1" scenarios="1" selectLockedCells="1"/>
  <mergeCells count="12">
    <mergeCell ref="B66:C66"/>
    <mergeCell ref="B3:C3"/>
    <mergeCell ref="B9:C9"/>
    <mergeCell ref="B15:C15"/>
    <mergeCell ref="B20:C20"/>
    <mergeCell ref="B26:C26"/>
    <mergeCell ref="B31:C31"/>
    <mergeCell ref="B1:C1"/>
    <mergeCell ref="B37:C37"/>
    <mergeCell ref="B49:C49"/>
    <mergeCell ref="B43:C43"/>
    <mergeCell ref="B57:C5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NC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Conlon</dc:creator>
  <cp:lastModifiedBy>Rhonda Conlon</cp:lastModifiedBy>
  <dcterms:created xsi:type="dcterms:W3CDTF">2016-02-11T15:02:05Z</dcterms:created>
  <dcterms:modified xsi:type="dcterms:W3CDTF">2016-06-02T16:41:58Z</dcterms:modified>
</cp:coreProperties>
</file>